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280" windowHeight="17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<sst xmlns="http://schemas.openxmlformats.org/spreadsheetml/2006/main" count="130" uniqueCount="99">
  <si>
    <t>Scope linear res</t>
  </si>
  <si>
    <t>Eff image lin res</t>
  </si>
  <si>
    <t>Eff camera res</t>
  </si>
  <si>
    <t>Max vis mag</t>
  </si>
  <si>
    <t>Max dg mag</t>
  </si>
  <si>
    <t>scope (only) resolution (Rayleigh)</t>
  </si>
  <si>
    <t>object width spanned by one pixel</t>
  </si>
  <si>
    <t>source of recorded image resolution limit</t>
  </si>
  <si>
    <t>maximum "35 mm equivalent" value</t>
  </si>
  <si>
    <t>camera only image resolution</t>
  </si>
  <si>
    <t>source of smallest effective aperture</t>
  </si>
  <si>
    <t>scope only linear resolution at object</t>
  </si>
  <si>
    <t>(asymmetric) depth of field</t>
  </si>
  <si>
    <t>far edge of focused field when focused at D</t>
  </si>
  <si>
    <t>near edge of focused field when focused at D</t>
  </si>
  <si>
    <t>when digiscoping, object linear resolution</t>
  </si>
  <si>
    <t>camera aperture diameter</t>
  </si>
  <si>
    <t>deg</t>
  </si>
  <si>
    <t>mm</t>
  </si>
  <si>
    <t>CCD diag</t>
  </si>
  <si>
    <t>m</t>
  </si>
  <si>
    <t>35 mm eqv</t>
  </si>
  <si>
    <t>DOF</t>
  </si>
  <si>
    <t>www.digibird.com</t>
  </si>
  <si>
    <t>scope objective diameter</t>
  </si>
  <si>
    <t>scope magnification</t>
  </si>
  <si>
    <t>camera TRUE focal length (from EXIF)</t>
  </si>
  <si>
    <t>distance to object</t>
  </si>
  <si>
    <t>Copyright 2002, 2003</t>
  </si>
  <si>
    <t>camera aperture control</t>
  </si>
  <si>
    <t>TRUE full tight value</t>
  </si>
  <si>
    <t>from camera specs</t>
  </si>
  <si>
    <t>scope focal length</t>
  </si>
  <si>
    <t>eyepiece focal length</t>
  </si>
  <si>
    <t>CCD diagonal length</t>
  </si>
  <si>
    <t>individual pixel diameter</t>
  </si>
  <si>
    <t>camera only field</t>
  </si>
  <si>
    <t>scope only</t>
  </si>
  <si>
    <t>when digiscoping, the effective camera aperture</t>
  </si>
  <si>
    <t>Far field edge</t>
  </si>
  <si>
    <t>Near field edge</t>
  </si>
  <si>
    <t>Brightness index</t>
  </si>
  <si>
    <t>linear digiscoping field diagonal</t>
  </si>
  <si>
    <t>digiscoping field of view (diagonal)</t>
  </si>
  <si>
    <t>when digiscoping, effective aperture diameter</t>
  </si>
  <si>
    <t>when digiscoping, effective scope aperture</t>
  </si>
  <si>
    <t>scope resolution when digiscoping</t>
  </si>
  <si>
    <t>object angle subtended by one pixel</t>
  </si>
  <si>
    <t>relative intensity of digiscoped image at CCD</t>
  </si>
  <si>
    <t>Digiscoping calculations by George Raiche,</t>
  </si>
  <si>
    <t>Permission granted for noncommercial use as long as the following attribution is included:</t>
  </si>
  <si>
    <t>Visit digibird.com for current version</t>
  </si>
  <si>
    <r>
      <t xml:space="preserve">if known, insert; </t>
    </r>
    <r>
      <rPr>
        <b/>
        <sz val="9"/>
        <rFont val="Geneva"/>
        <family val="0"/>
      </rPr>
      <t>otherwise leave as zero</t>
    </r>
  </si>
  <si>
    <t>digiscoping focal length in camera format</t>
  </si>
  <si>
    <t>digiscoping focal length, 35 mm equivalent</t>
  </si>
  <si>
    <t>By George Raiche, www.digibird.com</t>
  </si>
  <si>
    <t>Unit</t>
  </si>
  <si>
    <t>Note</t>
  </si>
  <si>
    <t>Parameter</t>
  </si>
  <si>
    <t>Scope aperture</t>
  </si>
  <si>
    <t>Scope mag</t>
  </si>
  <si>
    <t>Distance</t>
  </si>
  <si>
    <t>Camera f/#</t>
  </si>
  <si>
    <t>Camera max zoom f</t>
  </si>
  <si>
    <t>Camera focal length</t>
  </si>
  <si>
    <t>35 mm max zoom f</t>
  </si>
  <si>
    <t>when digiscoping, the minimum effective f/#</t>
  </si>
  <si>
    <t>maximum detail visual magnification</t>
  </si>
  <si>
    <t>maximum detail digiscoping magnification</t>
  </si>
  <si>
    <t>Value</t>
  </si>
  <si>
    <t>Horizontal pixels</t>
  </si>
  <si>
    <t>Vertical pixels</t>
  </si>
  <si>
    <t>Scope objective f</t>
  </si>
  <si>
    <t>Pixel diameter</t>
  </si>
  <si>
    <t>Eyepiece f</t>
  </si>
  <si>
    <t>Pixel diam</t>
  </si>
  <si>
    <t>Camera FOV</t>
  </si>
  <si>
    <t>Native f</t>
  </si>
  <si>
    <t>Digiscoping FOV</t>
  </si>
  <si>
    <t>Digiscoping linear FOV</t>
  </si>
  <si>
    <t>Exit pupil (diameter)</t>
  </si>
  <si>
    <t>Camera aperture dia</t>
  </si>
  <si>
    <t>Limiting aperture</t>
  </si>
  <si>
    <t>Limiting ap f/#</t>
  </si>
  <si>
    <t>Effective f/#</t>
  </si>
  <si>
    <t>Effective camera ap</t>
  </si>
  <si>
    <t>Effective obj ap</t>
  </si>
  <si>
    <t>Scope resolution</t>
  </si>
  <si>
    <t>Effective scope res</t>
  </si>
  <si>
    <t>Limiting blur</t>
  </si>
  <si>
    <t>resolution of digiscoped image at object</t>
  </si>
  <si>
    <t>Apparent linear extent of point object at CCD</t>
  </si>
  <si>
    <t>Hyperfocal distance</t>
  </si>
  <si>
    <t>Object distance at which DOF is infinite</t>
  </si>
  <si>
    <t>Reference: "Modern Optical Engineering" by Warren J. Smith</t>
  </si>
  <si>
    <t>Pixel subtense</t>
  </si>
  <si>
    <t>Eff image res</t>
  </si>
  <si>
    <t>Resolution limiter</t>
  </si>
  <si>
    <t>One pixel spans...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</si>
</sst>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m/d/yyyy"/>
    <numFmt numFmtId="167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b/>
      <u val="single"/>
      <sz val="9"/>
      <color indexed="12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0" xfId="0" applyBorder="1" applyAlignment="1">
      <alignment/>
    </xf>
    <xf numFmtId="2" fontId="0" fillId="2" borderId="3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20" applyFont="1" applyAlignment="1">
      <alignment/>
    </xf>
    <xf numFmtId="166" fontId="0" fillId="0" borderId="0" xfId="0" applyNumberFormat="1" applyAlignment="1">
      <alignment horizontal="center"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 horizontal="center"/>
    </xf>
    <xf numFmtId="2" fontId="0" fillId="2" borderId="3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/>
    </xf>
    <xf numFmtId="165" fontId="0" fillId="2" borderId="3" xfId="0" applyNumberFormat="1" applyFill="1" applyBorder="1" applyAlignment="1">
      <alignment horizontal="right"/>
    </xf>
    <xf numFmtId="167" fontId="0" fillId="2" borderId="3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409575</xdr:colOff>
      <xdr:row>6</xdr:row>
      <xdr:rowOff>19050</xdr:rowOff>
    </xdr:from>
    <xdr:ext cx="104775" cy="190500"/>
    <xdr:sp>
      <xdr:nvSpPr>
        <xdr:cNvPr id="1" name="TextBox 1"/>
        <xdr:cNvSpPr txBox="1">
          <a:spLocks noChangeArrowheads="1"/>
        </xdr:cNvSpPr>
      </xdr:nvSpPr>
      <xdr:spPr>
        <a:xfrm>
          <a:off x="8296275" y="9906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17</xdr:row>
      <xdr:rowOff>95250</xdr:rowOff>
    </xdr:from>
    <xdr:ext cx="3314700" cy="419100"/>
    <xdr:sp>
      <xdr:nvSpPr>
        <xdr:cNvPr id="2" name="TextBox 2"/>
        <xdr:cNvSpPr txBox="1">
          <a:spLocks noChangeArrowheads="1"/>
        </xdr:cNvSpPr>
      </xdr:nvSpPr>
      <xdr:spPr>
        <a:xfrm>
          <a:off x="790575" y="2828925"/>
          <a:ext cx="3314700" cy="4191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Geneva"/>
              <a:ea typeface="Geneva"/>
              <a:cs typeface="Geneva"/>
            </a:rPr>
            <a:t>Insert values for your setup above;
digiscoping values listed below...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bird.com/" TargetMode="External" /><Relationship Id="rId2" Type="http://schemas.openxmlformats.org/officeDocument/2006/relationships/hyperlink" Target="http://www.digibird.com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62" sqref="A62"/>
    </sheetView>
  </sheetViews>
  <sheetFormatPr defaultColWidth="11.00390625" defaultRowHeight="12"/>
  <cols>
    <col min="1" max="1" width="18.00390625" style="0" customWidth="1"/>
    <col min="2" max="2" width="14.625" style="0" bestFit="1" customWidth="1"/>
    <col min="3" max="3" width="5.625" style="4" customWidth="1"/>
    <col min="4" max="4" width="39.625" style="0" customWidth="1"/>
    <col min="5" max="5" width="11.50390625" style="0" customWidth="1"/>
    <col min="6" max="6" width="14.125" style="0" customWidth="1"/>
    <col min="7" max="16384" width="11.50390625" style="0" customWidth="1"/>
  </cols>
  <sheetData>
    <row r="1" spans="1:2" ht="12.75">
      <c r="A1" s="18" t="s">
        <v>49</v>
      </c>
      <c r="B1" s="18"/>
    </row>
    <row r="2" spans="1:2" ht="12.75">
      <c r="A2" s="20" t="s">
        <v>23</v>
      </c>
      <c r="B2" s="18"/>
    </row>
    <row r="3" ht="12.75">
      <c r="A3" t="s">
        <v>51</v>
      </c>
    </row>
    <row r="4" ht="12.75">
      <c r="A4" s="21">
        <v>36183</v>
      </c>
    </row>
    <row r="5" ht="12.75">
      <c r="A5" s="3"/>
    </row>
    <row r="6" spans="1:4" ht="12.75">
      <c r="A6" s="18" t="s">
        <v>58</v>
      </c>
      <c r="B6" s="19" t="s">
        <v>69</v>
      </c>
      <c r="C6" s="19" t="s">
        <v>56</v>
      </c>
      <c r="D6" s="19" t="s">
        <v>57</v>
      </c>
    </row>
    <row r="7" spans="1:4" ht="12">
      <c r="A7" s="8" t="s">
        <v>59</v>
      </c>
      <c r="B7" s="6">
        <v>77</v>
      </c>
      <c r="C7" s="9" t="s">
        <v>18</v>
      </c>
      <c r="D7" s="8" t="s">
        <v>24</v>
      </c>
    </row>
    <row r="8" spans="1:4" ht="12">
      <c r="A8" s="8" t="s">
        <v>60</v>
      </c>
      <c r="B8" s="6">
        <v>32</v>
      </c>
      <c r="C8" s="9"/>
      <c r="D8" s="8" t="s">
        <v>25</v>
      </c>
    </row>
    <row r="9" spans="1:4" ht="12.75">
      <c r="A9" s="8" t="s">
        <v>64</v>
      </c>
      <c r="B9" s="6">
        <v>23.4</v>
      </c>
      <c r="C9" s="9" t="s">
        <v>18</v>
      </c>
      <c r="D9" s="8" t="s">
        <v>26</v>
      </c>
    </row>
    <row r="10" spans="1:4" ht="12.75">
      <c r="A10" s="8" t="s">
        <v>62</v>
      </c>
      <c r="B10" s="6">
        <v>4</v>
      </c>
      <c r="C10" s="9"/>
      <c r="D10" s="8" t="s">
        <v>29</v>
      </c>
    </row>
    <row r="11" spans="1:4" ht="12.75">
      <c r="A11" s="8" t="s">
        <v>61</v>
      </c>
      <c r="B11" s="6">
        <v>50</v>
      </c>
      <c r="C11" s="9" t="s">
        <v>20</v>
      </c>
      <c r="D11" s="8" t="s">
        <v>27</v>
      </c>
    </row>
    <row r="12" spans="1:4" ht="12.75">
      <c r="A12" s="8" t="s">
        <v>63</v>
      </c>
      <c r="B12" s="6">
        <v>23.4</v>
      </c>
      <c r="C12" s="9" t="s">
        <v>18</v>
      </c>
      <c r="D12" s="8" t="s">
        <v>30</v>
      </c>
    </row>
    <row r="13" spans="1:4" ht="12.75">
      <c r="A13" s="8" t="s">
        <v>65</v>
      </c>
      <c r="B13" s="6">
        <v>115</v>
      </c>
      <c r="C13" s="9" t="s">
        <v>18</v>
      </c>
      <c r="D13" s="8" t="s">
        <v>8</v>
      </c>
    </row>
    <row r="14" spans="1:4" ht="12.75">
      <c r="A14" s="8" t="s">
        <v>70</v>
      </c>
      <c r="B14" s="6">
        <v>2048</v>
      </c>
      <c r="C14" s="9"/>
      <c r="D14" s="8" t="s">
        <v>31</v>
      </c>
    </row>
    <row r="15" spans="1:4" ht="12.75">
      <c r="A15" s="8" t="s">
        <v>71</v>
      </c>
      <c r="B15" s="6">
        <v>1536</v>
      </c>
      <c r="C15" s="9"/>
      <c r="D15" s="8" t="s">
        <v>31</v>
      </c>
    </row>
    <row r="16" spans="1:4" ht="12.75">
      <c r="A16" s="8" t="s">
        <v>72</v>
      </c>
      <c r="B16" s="6">
        <v>480</v>
      </c>
      <c r="C16" s="9" t="s">
        <v>18</v>
      </c>
      <c r="D16" s="8" t="s">
        <v>32</v>
      </c>
    </row>
    <row r="17" spans="1:4" ht="12.75">
      <c r="A17" s="22" t="s">
        <v>73</v>
      </c>
      <c r="B17" s="7">
        <v>0</v>
      </c>
      <c r="C17" s="23" t="s">
        <v>18</v>
      </c>
      <c r="D17" s="22" t="s">
        <v>52</v>
      </c>
    </row>
    <row r="18" ht="12">
      <c r="C18"/>
    </row>
    <row r="19" ht="12">
      <c r="C19"/>
    </row>
    <row r="20" ht="12">
      <c r="C20"/>
    </row>
    <row r="21" ht="12">
      <c r="B21" s="10"/>
    </row>
    <row r="22" spans="1:4" ht="12.75">
      <c r="A22" t="s">
        <v>74</v>
      </c>
      <c r="B22" s="11">
        <f>B16/B8</f>
        <v>15</v>
      </c>
      <c r="C22" s="4" t="s">
        <v>18</v>
      </c>
      <c r="D22" t="s">
        <v>33</v>
      </c>
    </row>
    <row r="23" spans="1:4" ht="12.75">
      <c r="A23" t="s">
        <v>19</v>
      </c>
      <c r="B23" s="11">
        <f>IF(B17=0,(43.27/B13)*B12,B17*(SQRT(B14^2+B15^2)))</f>
        <v>8.804504347826088</v>
      </c>
      <c r="C23" s="4" t="s">
        <v>18</v>
      </c>
      <c r="D23" t="s">
        <v>34</v>
      </c>
    </row>
    <row r="24" spans="1:4" ht="12.75">
      <c r="A24" t="s">
        <v>75</v>
      </c>
      <c r="B24" s="12">
        <f>IF(B17=0,(B23/(SQRT(B14^2+B15^2))),B17)</f>
        <v>0.0034392595108695655</v>
      </c>
      <c r="C24" s="4" t="s">
        <v>18</v>
      </c>
      <c r="D24" t="s">
        <v>35</v>
      </c>
    </row>
    <row r="25" spans="1:4" ht="12.75">
      <c r="A25" t="s">
        <v>76</v>
      </c>
      <c r="B25" s="11">
        <f>2*DEGREES(ATAN(B23/(2*B9)))</f>
        <v>21.309091560832773</v>
      </c>
      <c r="C25" s="4" t="s">
        <v>17</v>
      </c>
      <c r="D25" t="s">
        <v>36</v>
      </c>
    </row>
    <row r="26" spans="1:4" ht="12.75">
      <c r="A26" t="s">
        <v>78</v>
      </c>
      <c r="B26" s="11">
        <f>B25/B8</f>
        <v>0.6659091112760241</v>
      </c>
      <c r="C26" s="4" t="s">
        <v>17</v>
      </c>
      <c r="D26" t="s">
        <v>43</v>
      </c>
    </row>
    <row r="27" spans="1:4" ht="12.75">
      <c r="A27" t="s">
        <v>79</v>
      </c>
      <c r="B27" s="11">
        <f>2*(B11)*TAN(RADIANS(B26/2))</f>
        <v>0.581121866953236</v>
      </c>
      <c r="C27" s="4" t="s">
        <v>20</v>
      </c>
      <c r="D27" t="s">
        <v>42</v>
      </c>
    </row>
    <row r="28" spans="1:4" ht="12.75">
      <c r="A28" t="s">
        <v>77</v>
      </c>
      <c r="B28" s="11">
        <f>B9*B8</f>
        <v>748.8</v>
      </c>
      <c r="C28" s="4" t="s">
        <v>18</v>
      </c>
      <c r="D28" t="s">
        <v>53</v>
      </c>
    </row>
    <row r="29" spans="1:4" ht="12.75">
      <c r="A29" t="s">
        <v>21</v>
      </c>
      <c r="B29" s="13">
        <f>43.27/(2*TAN(RADIANS(B26)/2))</f>
        <v>3722.971244126494</v>
      </c>
      <c r="C29" s="4" t="s">
        <v>18</v>
      </c>
      <c r="D29" t="s">
        <v>54</v>
      </c>
    </row>
    <row r="30" spans="1:4" s="1" customFormat="1" ht="12.75">
      <c r="A30" s="1" t="s">
        <v>80</v>
      </c>
      <c r="B30" s="14">
        <f>B7/B8</f>
        <v>2.40625</v>
      </c>
      <c r="C30" s="5" t="s">
        <v>18</v>
      </c>
      <c r="D30" s="1" t="s">
        <v>37</v>
      </c>
    </row>
    <row r="31" spans="1:4" s="1" customFormat="1" ht="12.75">
      <c r="A31" s="1" t="s">
        <v>81</v>
      </c>
      <c r="B31" s="14">
        <f>B9/B10</f>
        <v>5.85</v>
      </c>
      <c r="C31" s="5" t="s">
        <v>18</v>
      </c>
      <c r="D31" s="1" t="s">
        <v>16</v>
      </c>
    </row>
    <row r="32" spans="1:4" ht="12.75">
      <c r="A32" t="s">
        <v>82</v>
      </c>
      <c r="B32" s="15" t="str">
        <f>IF(B31&gt;B30,"exit pupil","camera")</f>
        <v>exit pupil</v>
      </c>
      <c r="D32" s="1" t="s">
        <v>10</v>
      </c>
    </row>
    <row r="33" spans="1:4" ht="12.75">
      <c r="A33" t="s">
        <v>83</v>
      </c>
      <c r="B33" s="11">
        <f>B9/B30</f>
        <v>9.724675324675324</v>
      </c>
      <c r="D33" s="1" t="s">
        <v>66</v>
      </c>
    </row>
    <row r="34" spans="1:4" ht="12.75">
      <c r="A34" t="s">
        <v>84</v>
      </c>
      <c r="B34" s="11">
        <f>IF(B33&lt;B10,B10,B33)</f>
        <v>9.724675324675324</v>
      </c>
      <c r="D34" s="1" t="s">
        <v>38</v>
      </c>
    </row>
    <row r="35" spans="1:4" ht="12.75">
      <c r="A35" t="s">
        <v>85</v>
      </c>
      <c r="B35" s="11">
        <f>B9/B34</f>
        <v>2.40625</v>
      </c>
      <c r="C35" s="4" t="s">
        <v>18</v>
      </c>
      <c r="D35" s="1" t="s">
        <v>44</v>
      </c>
    </row>
    <row r="36" spans="1:4" ht="12.75">
      <c r="A36" t="s">
        <v>86</v>
      </c>
      <c r="B36" s="11">
        <f>B35*B8</f>
        <v>77</v>
      </c>
      <c r="C36" s="4" t="s">
        <v>18</v>
      </c>
      <c r="D36" s="1" t="s">
        <v>45</v>
      </c>
    </row>
    <row r="37" spans="1:4" ht="12.75">
      <c r="A37" t="s">
        <v>87</v>
      </c>
      <c r="B37" s="12">
        <f>0.039/B7</f>
        <v>0.0005064935064935065</v>
      </c>
      <c r="C37" s="4" t="s">
        <v>17</v>
      </c>
      <c r="D37" s="1" t="s">
        <v>5</v>
      </c>
    </row>
    <row r="38" spans="1:4" ht="12.75">
      <c r="A38" t="s">
        <v>88</v>
      </c>
      <c r="B38" s="12">
        <f>0.039/B36</f>
        <v>0.0005064935064935065</v>
      </c>
      <c r="C38" s="4" t="s">
        <v>17</v>
      </c>
      <c r="D38" s="1" t="s">
        <v>46</v>
      </c>
    </row>
    <row r="39" spans="1:4" ht="12.75">
      <c r="A39" t="s">
        <v>95</v>
      </c>
      <c r="B39" s="12">
        <f>DEGREES(B24/B9)/B8</f>
        <v>0.0002631611306397623</v>
      </c>
      <c r="C39" s="4" t="s">
        <v>17</v>
      </c>
      <c r="D39" s="1" t="s">
        <v>47</v>
      </c>
    </row>
    <row r="40" spans="1:4" ht="12.75">
      <c r="A40" t="s">
        <v>96</v>
      </c>
      <c r="B40" s="12">
        <f>IF(B38&gt;B39,B38,B39)</f>
        <v>0.0005064935064935065</v>
      </c>
      <c r="C40" s="4" t="s">
        <v>17</v>
      </c>
      <c r="D40" s="1" t="s">
        <v>90</v>
      </c>
    </row>
    <row r="41" spans="1:4" ht="12.75">
      <c r="A41" t="s">
        <v>97</v>
      </c>
      <c r="B41" s="16" t="str">
        <f>IF(B38&gt;B39,"apertures","pixel size")</f>
        <v>apertures</v>
      </c>
      <c r="D41" s="1" t="s">
        <v>7</v>
      </c>
    </row>
    <row r="42" spans="1:4" ht="12.75">
      <c r="A42" t="s">
        <v>98</v>
      </c>
      <c r="B42" s="17">
        <f>B11*1000*SIN(RADIANS(B39))</f>
        <v>0.22965140964593175</v>
      </c>
      <c r="C42" s="4" t="s">
        <v>18</v>
      </c>
      <c r="D42" s="1" t="s">
        <v>6</v>
      </c>
    </row>
    <row r="43" spans="1:4" ht="12.75">
      <c r="A43" t="s">
        <v>0</v>
      </c>
      <c r="B43" s="17">
        <f>1000*B11*SIN(RADIANS(B37))</f>
        <v>0.4419989664083917</v>
      </c>
      <c r="C43" s="4" t="s">
        <v>18</v>
      </c>
      <c r="D43" s="1" t="s">
        <v>11</v>
      </c>
    </row>
    <row r="44" spans="1:4" ht="12.75">
      <c r="A44" t="s">
        <v>1</v>
      </c>
      <c r="B44" s="17">
        <f>1000*B11*SIN(RADIANS(B40))</f>
        <v>0.4419989664083917</v>
      </c>
      <c r="C44" s="4" t="s">
        <v>18</v>
      </c>
      <c r="D44" s="1" t="s">
        <v>15</v>
      </c>
    </row>
    <row r="45" spans="1:4" ht="12.75">
      <c r="A45" t="s">
        <v>2</v>
      </c>
      <c r="B45" s="12">
        <f>IF((B39*B8)&gt;(0.039/B31),(B39*B8),(0.039/B31))</f>
        <v>0.008421156180472393</v>
      </c>
      <c r="C45" s="4" t="s">
        <v>17</v>
      </c>
      <c r="D45" s="1" t="s">
        <v>9</v>
      </c>
    </row>
    <row r="46" spans="1:4" s="1" customFormat="1" ht="12.75">
      <c r="A46" s="1" t="s">
        <v>3</v>
      </c>
      <c r="B46" s="26">
        <f>(0.017)/B37</f>
        <v>33.56410256410256</v>
      </c>
      <c r="C46" s="5"/>
      <c r="D46" s="1" t="s">
        <v>67</v>
      </c>
    </row>
    <row r="47" spans="1:4" ht="12.75">
      <c r="A47" t="s">
        <v>4</v>
      </c>
      <c r="B47" s="24">
        <f>B45/B37</f>
        <v>16.62638527939421</v>
      </c>
      <c r="D47" s="1" t="s">
        <v>68</v>
      </c>
    </row>
    <row r="48" spans="1:4" ht="12.75">
      <c r="A48" t="s">
        <v>89</v>
      </c>
      <c r="B48" s="25">
        <f>RADIANS(B40)*B9*B8</f>
        <v>0.0066193765210182855</v>
      </c>
      <c r="C48" s="4" t="s">
        <v>18</v>
      </c>
      <c r="D48" s="1" t="s">
        <v>91</v>
      </c>
    </row>
    <row r="49" spans="1:4" ht="12.75">
      <c r="A49" t="s">
        <v>39</v>
      </c>
      <c r="B49" s="27">
        <f>IF((1/1000)*(B28*(B11*1000)*(B36+(B48)))/(B28*B36-(B11*1000*(B48)))&gt;0,(1/1000)*(B28*(B11*1000)*(B36+(B48)))/(B28*B36-(B11*1000*(B48))),"hyperfocal")</f>
        <v>50.292992461191844</v>
      </c>
      <c r="C49" s="4" t="s">
        <v>20</v>
      </c>
      <c r="D49" s="1" t="s">
        <v>13</v>
      </c>
    </row>
    <row r="50" spans="1:4" ht="12.75">
      <c r="A50" t="s">
        <v>40</v>
      </c>
      <c r="B50" s="27">
        <f>(1/1000)*(B28*(B11*1000)*(B36-(B48)))/(B28*B36+(B11*1000*(B48)))</f>
        <v>49.71035203834955</v>
      </c>
      <c r="C50" s="4" t="s">
        <v>20</v>
      </c>
      <c r="D50" s="1" t="s">
        <v>14</v>
      </c>
    </row>
    <row r="51" spans="1:4" ht="12.75">
      <c r="A51" t="s">
        <v>22</v>
      </c>
      <c r="B51" s="28">
        <f>IF(B49="hyperfocal","hyperfocal",1000*(B49-B50))</f>
        <v>582.640422842296</v>
      </c>
      <c r="C51" s="4" t="s">
        <v>18</v>
      </c>
      <c r="D51" s="1" t="s">
        <v>12</v>
      </c>
    </row>
    <row r="52" spans="1:4" ht="12.75">
      <c r="A52" t="s">
        <v>92</v>
      </c>
      <c r="B52" s="28">
        <f>0.001*B28*B36/B48</f>
        <v>8710.427608540132</v>
      </c>
      <c r="C52" s="4" t="s">
        <v>20</v>
      </c>
      <c r="D52" s="1" t="s">
        <v>93</v>
      </c>
    </row>
    <row r="53" spans="1:4" ht="12.75">
      <c r="A53" t="s">
        <v>41</v>
      </c>
      <c r="B53" s="17">
        <f>B26^2*B35^2</f>
        <v>2.5675056502191755</v>
      </c>
      <c r="D53" s="1" t="s">
        <v>48</v>
      </c>
    </row>
    <row r="54" spans="2:4" ht="12.75">
      <c r="B54" s="29"/>
      <c r="D54" s="1"/>
    </row>
    <row r="55" spans="1:4" ht="12.75">
      <c r="A55" t="s">
        <v>94</v>
      </c>
      <c r="B55" s="29"/>
      <c r="D55" s="1"/>
    </row>
    <row r="56" spans="2:4" ht="12.75">
      <c r="B56" s="2"/>
      <c r="D56" s="1"/>
    </row>
    <row r="57" ht="12.75">
      <c r="A57" t="s">
        <v>28</v>
      </c>
    </row>
    <row r="58" ht="12.75">
      <c r="A58" t="s">
        <v>50</v>
      </c>
    </row>
    <row r="59" ht="12.75">
      <c r="A59" t="s">
        <v>55</v>
      </c>
    </row>
    <row r="60" ht="12.75">
      <c r="A60" s="20" t="s">
        <v>23</v>
      </c>
    </row>
  </sheetData>
  <hyperlinks>
    <hyperlink ref="A60" r:id="rId1" display="www.digibird.com"/>
    <hyperlink ref="A2" r:id="rId2" display="www.digibird.com"/>
  </hyperlinks>
  <printOptions/>
  <pageMargins left="0.75" right="0.75" top="1" bottom="1" header="0.5" footer="0.5"/>
  <pageSetup horizontalDpi="600" verticalDpi="60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www.digibird.com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Digiscoping calculations</dc:title>
  <dc:subject/>
  <dc:creator>George Raiche</dc:creator>
  <cp:keywords/>
  <dc:description/>
  <cp:lastModifiedBy>George Raiche</cp:lastModifiedBy>
  <cp:lastPrinted>2002-10-22T04:42:24Z</cp:lastPrinted>
  <dcterms:created xsi:type="dcterms:W3CDTF">2002-10-04T19:11:08Z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